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142"/>
      <sz val="11"/>
    </font>
    <font>
      <name val="Arial"/>
      <b val="1"/>
      <sz val="10"/>
    </font>
    <font>
      <name val="Arial"/>
      <b val="1"/>
      <color rgb="001B2142"/>
      <sz val="10"/>
    </font>
    <font>
      <name val="Arial"/>
      <b val="1"/>
      <color rgb="006B7280"/>
      <sz val="10"/>
    </font>
    <font>
      <name val="Arial"/>
      <b val="1"/>
      <color rgb="003DA88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center"/>
    </xf>
    <xf numFmtId="4" fontId="5" fillId="2" borderId="1" pivotButton="0" quotePrefix="0" xfId="0"/>
    <xf numFmtId="0" fontId="9" fillId="0" borderId="0" pivotButton="0" quotePrefix="0" xfId="0"/>
    <xf numFmtId="165" fontId="8" fillId="0" borderId="1" applyAlignment="1" pivotButton="0" quotePrefix="0" xfId="0">
      <alignment horizontal="center" vertical="center"/>
    </xf>
    <xf numFmtId="4" fontId="8" fillId="0" borderId="1" pivotButton="0" quotePrefix="0" xfId="0"/>
    <xf numFmtId="14" fontId="5" fillId="2" borderId="1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center" vertical="center"/>
    </xf>
    <xf numFmtId="4" fontId="4" fillId="0" borderId="1" pivotButton="0" quotePrefix="0" xfId="0"/>
    <xf numFmtId="0" fontId="11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0" fontId="5" fillId="2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1" pivotButton="0" quotePrefix="0" xfId="0"/>
    <xf numFmtId="10" fontId="4" fillId="0" borderId="1" pivotButton="0" quotePrefix="0" xfId="0"/>
    <xf numFmtId="1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3"/>
  <sheetViews>
    <sheetView showGridLines="0" rightToLeft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" customWidth="1" min="5" max="5"/>
    <col width="22" customWidth="1" min="6" max="6"/>
    <col width="16" customWidth="1" min="7" max="7"/>
    <col width="16" customWidth="1" min="8" max="8"/>
    <col width="16" customWidth="1" min="9" max="9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4" customHeight="1">
      <c r="A1" s="1" t="inlineStr">
        <is>
          <t>Planejador de dívidas: bola de neve e avalanche</t>
        </is>
      </c>
    </row>
    <row r="2">
      <c r="A2" s="2" t="inlineStr">
        <is>
          <t>Planilha grátis de abacurio.com</t>
        </is>
      </c>
    </row>
    <row r="3">
      <c r="A3" s="3" t="inlineStr">
        <is>
          <t>Preencha as células amarelas. Todo o resto é calculado para você. Há valores de exemplo preenchidos — troque pelos seus.</t>
        </is>
      </c>
    </row>
    <row r="5">
      <c r="A5" s="4" t="inlineStr">
        <is>
          <t>Método</t>
        </is>
      </c>
      <c r="B5" s="5" t="inlineStr">
        <is>
          <t>Bola de neve</t>
        </is>
      </c>
      <c r="F5" s="6" t="inlineStr"/>
      <c r="G5" s="7" t="inlineStr">
        <is>
          <t>Livre das dívidas em</t>
        </is>
      </c>
      <c r="H5" s="7" t="inlineStr">
        <is>
          <t>Juros pagos</t>
        </is>
      </c>
      <c r="M5" t="inlineStr">
        <is>
          <t>Bola de neve</t>
        </is>
      </c>
    </row>
    <row r="6">
      <c r="A6" s="4" t="inlineStr">
        <is>
          <t>Extra por mês</t>
        </is>
      </c>
      <c r="B6" s="8" t="n">
        <v>200</v>
      </c>
      <c r="F6" s="9" t="inlineStr">
        <is>
          <t>Com este plano</t>
        </is>
      </c>
      <c r="G6" s="10">
        <f>IF(COUNTIF(U24:U33,-1)&gt;0,"Nunca — aumente o pagamento",IF(MAX(U24:U33)&gt;0,EDATE(B7,ROUNDUP(MAX(U24:U33),0)-1),""))</f>
        <v/>
      </c>
      <c r="H6" s="11">
        <f>SUM(I24:I33)</f>
        <v/>
      </c>
      <c r="M6" t="inlineStr">
        <is>
          <t>Avalanche</t>
        </is>
      </c>
    </row>
    <row r="7">
      <c r="A7" s="4" t="inlineStr">
        <is>
          <t>Data de início</t>
        </is>
      </c>
      <c r="B7" s="12" t="n">
        <v>46327</v>
      </c>
      <c r="F7" s="13" t="inlineStr">
        <is>
          <t>Só pagamentos mínimos</t>
        </is>
      </c>
      <c r="G7" s="14">
        <f>IF(COUNTIF(O10:O19,-1)&gt;0,"Nunca — aumente o pagamento",IF(MAX(O10:O19)&gt;0,EDATE(B7,ROUNDUP(MAX(O10:O19),0)-1),""))</f>
        <v/>
      </c>
      <c r="H7" s="15">
        <f>IF(COUNTIF(O10:O19,-1)&gt;0,"",SUM(V10:V19)-SUM(B10:B19))</f>
        <v/>
      </c>
    </row>
    <row r="8">
      <c r="F8" s="16" t="inlineStr">
        <is>
          <t>Juros economizados</t>
        </is>
      </c>
      <c r="H8" s="11">
        <f>IFERROR(MAX(0,H7-H6),"")</f>
        <v/>
      </c>
    </row>
    <row r="9" ht="30" customHeight="1">
      <c r="A9" s="17" t="inlineStr">
        <is>
          <t>Dívida</t>
        </is>
      </c>
      <c r="B9" s="17" t="inlineStr">
        <is>
          <t>Saldo</t>
        </is>
      </c>
      <c r="C9" s="17" t="inlineStr">
        <is>
          <t>Taxa de juros (% ao ano)</t>
        </is>
      </c>
      <c r="D9" s="17" t="inlineStr">
        <is>
          <t>Pagamento mínimo</t>
        </is>
      </c>
    </row>
    <row r="10">
      <c r="A10" s="5" t="inlineStr">
        <is>
          <t>Cartão de crédito</t>
        </is>
      </c>
      <c r="B10" s="8" t="n">
        <v>4800</v>
      </c>
      <c r="C10" s="18" t="n">
        <v>0.229</v>
      </c>
      <c r="D10" s="8" t="n">
        <v>140</v>
      </c>
      <c r="N10">
        <f>IF(OR(B10="",B10&lt;=0),"",IF($B$5=$M$6,-C10,B10)+ROW()/1000000)</f>
        <v/>
      </c>
      <c r="O10">
        <f>IF(OR(B10="",B10&lt;=0),"",IF(D10&lt;=B10*C10/12,-1,IF(C10=0,B10/D10,NPER(C10/12,-D10,B10))))</f>
        <v/>
      </c>
      <c r="V10">
        <f>IF(OR(O10="",N(O10)&lt;0),0,D10*O10)</f>
        <v/>
      </c>
    </row>
    <row r="11">
      <c r="A11" s="5" t="inlineStr">
        <is>
          <t>Financiamento do carro</t>
        </is>
      </c>
      <c r="B11" s="8" t="n">
        <v>11500</v>
      </c>
      <c r="C11" s="18" t="n">
        <v>0.079</v>
      </c>
      <c r="D11" s="8" t="n">
        <v>290</v>
      </c>
      <c r="N11">
        <f>IF(OR(B11="",B11&lt;=0),"",IF($B$5=$M$6,-C11,B11)+ROW()/1000000)</f>
        <v/>
      </c>
      <c r="O11">
        <f>IF(OR(B11="",B11&lt;=0),"",IF(D11&lt;=B11*C11/12,-1,IF(C11=0,B11/D11,NPER(C11/12,-D11,B11))))</f>
        <v/>
      </c>
      <c r="V11">
        <f>IF(OR(O11="",N(O11)&lt;0),0,D11*O11)</f>
        <v/>
      </c>
    </row>
    <row r="12">
      <c r="A12" s="5" t="inlineStr">
        <is>
          <t>Cartão de loja</t>
        </is>
      </c>
      <c r="B12" s="8" t="n">
        <v>900</v>
      </c>
      <c r="C12" s="18" t="n">
        <v>0.26</v>
      </c>
      <c r="D12" s="8" t="n">
        <v>35</v>
      </c>
      <c r="N12">
        <f>IF(OR(B12="",B12&lt;=0),"",IF($B$5=$M$6,-C12,B12)+ROW()/1000000)</f>
        <v/>
      </c>
      <c r="O12">
        <f>IF(OR(B12="",B12&lt;=0),"",IF(D12&lt;=B12*C12/12,-1,IF(C12=0,B12/D12,NPER(C12/12,-D12,B12))))</f>
        <v/>
      </c>
      <c r="V12">
        <f>IF(OR(O12="",N(O12)&lt;0),0,D12*O12)</f>
        <v/>
      </c>
    </row>
    <row r="13">
      <c r="A13" s="5" t="inlineStr">
        <is>
          <t>Empréstimo pessoal</t>
        </is>
      </c>
      <c r="B13" s="8" t="n">
        <v>6200</v>
      </c>
      <c r="C13" s="18" t="n">
        <v>0.115</v>
      </c>
      <c r="D13" s="8" t="n">
        <v>160</v>
      </c>
      <c r="N13">
        <f>IF(OR(B13="",B13&lt;=0),"",IF($B$5=$M$6,-C13,B13)+ROW()/1000000)</f>
        <v/>
      </c>
      <c r="O13">
        <f>IF(OR(B13="",B13&lt;=0),"",IF(D13&lt;=B13*C13/12,-1,IF(C13=0,B13/D13,NPER(C13/12,-D13,B13))))</f>
        <v/>
      </c>
      <c r="V13">
        <f>IF(OR(O13="",N(O13)&lt;0),0,D13*O13)</f>
        <v/>
      </c>
    </row>
    <row r="14">
      <c r="A14" s="5" t="n"/>
      <c r="B14" s="8" t="n"/>
      <c r="C14" s="18" t="n"/>
      <c r="D14" s="8" t="n"/>
      <c r="N14">
        <f>IF(OR(B14="",B14&lt;=0),"",IF($B$5=$M$6,-C14,B14)+ROW()/1000000)</f>
        <v/>
      </c>
      <c r="O14">
        <f>IF(OR(B14="",B14&lt;=0),"",IF(D14&lt;=B14*C14/12,-1,IF(C14=0,B14/D14,NPER(C14/12,-D14,B14))))</f>
        <v/>
      </c>
      <c r="V14">
        <f>IF(OR(O14="",N(O14)&lt;0),0,D14*O14)</f>
        <v/>
      </c>
    </row>
    <row r="15">
      <c r="A15" s="5" t="n"/>
      <c r="B15" s="8" t="n"/>
      <c r="C15" s="18" t="n"/>
      <c r="D15" s="8" t="n"/>
      <c r="N15">
        <f>IF(OR(B15="",B15&lt;=0),"",IF($B$5=$M$6,-C15,B15)+ROW()/1000000)</f>
        <v/>
      </c>
      <c r="O15">
        <f>IF(OR(B15="",B15&lt;=0),"",IF(D15&lt;=B15*C15/12,-1,IF(C15=0,B15/D15,NPER(C15/12,-D15,B15))))</f>
        <v/>
      </c>
      <c r="V15">
        <f>IF(OR(O15="",N(O15)&lt;0),0,D15*O15)</f>
        <v/>
      </c>
    </row>
    <row r="16">
      <c r="A16" s="5" t="n"/>
      <c r="B16" s="8" t="n"/>
      <c r="C16" s="18" t="n"/>
      <c r="D16" s="8" t="n"/>
      <c r="N16">
        <f>IF(OR(B16="",B16&lt;=0),"",IF($B$5=$M$6,-C16,B16)+ROW()/1000000)</f>
        <v/>
      </c>
      <c r="O16">
        <f>IF(OR(B16="",B16&lt;=0),"",IF(D16&lt;=B16*C16/12,-1,IF(C16=0,B16/D16,NPER(C16/12,-D16,B16))))</f>
        <v/>
      </c>
      <c r="V16">
        <f>IF(OR(O16="",N(O16)&lt;0),0,D16*O16)</f>
        <v/>
      </c>
    </row>
    <row r="17">
      <c r="A17" s="5" t="n"/>
      <c r="B17" s="8" t="n"/>
      <c r="C17" s="18" t="n"/>
      <c r="D17" s="8" t="n"/>
      <c r="N17">
        <f>IF(OR(B17="",B17&lt;=0),"",IF($B$5=$M$6,-C17,B17)+ROW()/1000000)</f>
        <v/>
      </c>
      <c r="O17">
        <f>IF(OR(B17="",B17&lt;=0),"",IF(D17&lt;=B17*C17/12,-1,IF(C17=0,B17/D17,NPER(C17/12,-D17,B17))))</f>
        <v/>
      </c>
      <c r="V17">
        <f>IF(OR(O17="",N(O17)&lt;0),0,D17*O17)</f>
        <v/>
      </c>
    </row>
    <row r="18">
      <c r="A18" s="5" t="n"/>
      <c r="B18" s="8" t="n"/>
      <c r="C18" s="18" t="n"/>
      <c r="D18" s="8" t="n"/>
      <c r="N18">
        <f>IF(OR(B18="",B18&lt;=0),"",IF($B$5=$M$6,-C18,B18)+ROW()/1000000)</f>
        <v/>
      </c>
      <c r="O18">
        <f>IF(OR(B18="",B18&lt;=0),"",IF(D18&lt;=B18*C18/12,-1,IF(C18=0,B18/D18,NPER(C18/12,-D18,B18))))</f>
        <v/>
      </c>
      <c r="V18">
        <f>IF(OR(O18="",N(O18)&lt;0),0,D18*O18)</f>
        <v/>
      </c>
    </row>
    <row r="19">
      <c r="A19" s="5" t="n"/>
      <c r="B19" s="8" t="n"/>
      <c r="C19" s="18" t="n"/>
      <c r="D19" s="8" t="n"/>
      <c r="N19">
        <f>IF(OR(B19="",B19&lt;=0),"",IF($B$5=$M$6,-C19,B19)+ROW()/1000000)</f>
        <v/>
      </c>
      <c r="O19">
        <f>IF(OR(B19="",B19&lt;=0),"",IF(D19&lt;=B19*C19/12,-1,IF(C19=0,B19/D19,NPER(C19/12,-D19,B19))))</f>
        <v/>
      </c>
      <c r="V19">
        <f>IF(OR(O19="",N(O19)&lt;0),0,D19*O19)</f>
        <v/>
      </c>
    </row>
    <row r="22">
      <c r="A22" s="19" t="inlineStr">
        <is>
          <t>Ordem de quitação</t>
        </is>
      </c>
    </row>
    <row r="23" ht="30" customHeight="1">
      <c r="A23" s="17" t="inlineStr">
        <is>
          <t>#</t>
        </is>
      </c>
      <c r="B23" s="17" t="inlineStr">
        <is>
          <t>Dívida</t>
        </is>
      </c>
      <c r="C23" s="17" t="inlineStr">
        <is>
          <t>Saldo</t>
        </is>
      </c>
      <c r="D23" s="17" t="inlineStr">
        <is>
          <t>Taxa de juros (% ao ano)</t>
        </is>
      </c>
      <c r="E23" s="17" t="inlineStr"/>
      <c r="F23" s="17" t="inlineStr">
        <is>
          <t>Pagamento mínimo</t>
        </is>
      </c>
      <c r="G23" s="17" t="inlineStr">
        <is>
          <t>Quitada após (meses)</t>
        </is>
      </c>
      <c r="H23" s="17" t="inlineStr">
        <is>
          <t>Quitada em</t>
        </is>
      </c>
      <c r="I23" s="17" t="inlineStr">
        <is>
          <t>Juros pagos</t>
        </is>
      </c>
    </row>
    <row r="24">
      <c r="A24" s="20" t="n">
        <v>1</v>
      </c>
      <c r="B24" s="21">
        <f>IF(P24="","",INDEX($A$10:$A$19,P24))</f>
        <v/>
      </c>
      <c r="C24" s="15">
        <f>IF(P24="","",INDEX($B$10:$B$19,P24))</f>
        <v/>
      </c>
      <c r="D24" s="22">
        <f>IF(P24="","",INDEX($C$10:$C$19,P24))</f>
        <v/>
      </c>
      <c r="F24" s="15">
        <f>IF(P24="","",INDEX($D$10:$D$19,P24))</f>
        <v/>
      </c>
      <c r="G24" s="23">
        <f>IF(P24="","",IF(U24&lt;0,"Nunca — aumente o pagamento",ROUNDUP(T24,0)))</f>
        <v/>
      </c>
      <c r="H24" s="14">
        <f>IF(OR(P24="",U24&lt;0),"",EDATE($B$7,ROUNDUP(T24,0)-1))</f>
        <v/>
      </c>
      <c r="I24" s="15">
        <f>IF(OR(P24="",U24&lt;0),"",MAX(0,IF(S24&lt;=0,F24*T24,F24*0+R24*(T24-0))-C24))</f>
        <v/>
      </c>
      <c r="P24">
        <f>IF(COUNT($N$10:$N$19)&lt;1,"",MATCH(SMALL($N$10:$N$19,1),$N$10:$N$19,0))</f>
        <v/>
      </c>
      <c r="Q24">
        <f>IF(P24="","",N(D24)/12)</f>
        <v/>
      </c>
      <c r="R24">
        <f>IF(P24="","",F24+$B$6+0)</f>
        <v/>
      </c>
      <c r="S24">
        <f>IF(P24="","",IF(0=0,C24,IF(Q24=0,C24-F24*0,C24*(1+Q24)^0-F24*((1+Q24)^0-1)/Q24)))</f>
        <v/>
      </c>
      <c r="T24">
        <f>IF(P24="","",IF(S24&lt;=0,IFERROR(NPER(Q24,-F24,C24),0),IF(R24&lt;=S24*Q24,-1,0+IF(Q24=0,S24/R24,NPER(Q24,-R24,S24)))))</f>
        <v/>
      </c>
      <c r="U24">
        <f>IF(P24="","",IF(OR(T24&lt;0,N(0)&lt;0),-1,MAX(N(0),T24)))</f>
        <v/>
      </c>
    </row>
    <row r="25">
      <c r="A25" s="20" t="n">
        <v>2</v>
      </c>
      <c r="B25" s="21">
        <f>IF(P25="","",INDEX($A$10:$A$19,P25))</f>
        <v/>
      </c>
      <c r="C25" s="15">
        <f>IF(P25="","",INDEX($B$10:$B$19,P25))</f>
        <v/>
      </c>
      <c r="D25" s="22">
        <f>IF(P25="","",INDEX($C$10:$C$19,P25))</f>
        <v/>
      </c>
      <c r="F25" s="15">
        <f>IF(P25="","",INDEX($D$10:$D$19,P25))</f>
        <v/>
      </c>
      <c r="G25" s="23">
        <f>IF(P25="","",IF(U25&lt;0,"Nunca — aumente o pagamento",ROUNDUP(T25,0)))</f>
        <v/>
      </c>
      <c r="H25" s="14">
        <f>IF(OR(P25="",U25&lt;0),"",EDATE($B$7,ROUNDUP(T25,0)-1))</f>
        <v/>
      </c>
      <c r="I25" s="15">
        <f>IF(OR(P25="",U25&lt;0),"",MAX(0,IF(S25&lt;=0,F25*T25,F25*U24+R25*(T25-U24))-C25))</f>
        <v/>
      </c>
      <c r="P25">
        <f>IF(COUNT($N$10:$N$19)&lt;2,"",MATCH(SMALL($N$10:$N$19,2),$N$10:$N$19,0))</f>
        <v/>
      </c>
      <c r="Q25">
        <f>IF(P25="","",N(D25)/12)</f>
        <v/>
      </c>
      <c r="R25">
        <f>IF(P25="","",F25+$B$6+SUM(F$24:F24))</f>
        <v/>
      </c>
      <c r="S25">
        <f>IF(P25="","",IF(U24=0,C25,IF(Q25=0,C25-F25*U24,C25*(1+Q25)^U24-F25*((1+Q25)^U24-1)/Q25)))</f>
        <v/>
      </c>
      <c r="T25">
        <f>IF(P25="","",IF(S25&lt;=0,IFERROR(NPER(Q25,-F25,C25),0),IF(R25&lt;=S25*Q25,-1,U24+IF(Q25=0,S25/R25,NPER(Q25,-R25,S25)))))</f>
        <v/>
      </c>
      <c r="U25">
        <f>IF(P25="","",IF(OR(T25&lt;0,N(U24)&lt;0),-1,MAX(N(U24),T25)))</f>
        <v/>
      </c>
    </row>
    <row r="26">
      <c r="A26" s="20" t="n">
        <v>3</v>
      </c>
      <c r="B26" s="21">
        <f>IF(P26="","",INDEX($A$10:$A$19,P26))</f>
        <v/>
      </c>
      <c r="C26" s="15">
        <f>IF(P26="","",INDEX($B$10:$B$19,P26))</f>
        <v/>
      </c>
      <c r="D26" s="22">
        <f>IF(P26="","",INDEX($C$10:$C$19,P26))</f>
        <v/>
      </c>
      <c r="F26" s="15">
        <f>IF(P26="","",INDEX($D$10:$D$19,P26))</f>
        <v/>
      </c>
      <c r="G26" s="23">
        <f>IF(P26="","",IF(U26&lt;0,"Nunca — aumente o pagamento",ROUNDUP(T26,0)))</f>
        <v/>
      </c>
      <c r="H26" s="14">
        <f>IF(OR(P26="",U26&lt;0),"",EDATE($B$7,ROUNDUP(T26,0)-1))</f>
        <v/>
      </c>
      <c r="I26" s="15">
        <f>IF(OR(P26="",U26&lt;0),"",MAX(0,IF(S26&lt;=0,F26*T26,F26*U25+R26*(T26-U25))-C26))</f>
        <v/>
      </c>
      <c r="P26">
        <f>IF(COUNT($N$10:$N$19)&lt;3,"",MATCH(SMALL($N$10:$N$19,3),$N$10:$N$19,0))</f>
        <v/>
      </c>
      <c r="Q26">
        <f>IF(P26="","",N(D26)/12)</f>
        <v/>
      </c>
      <c r="R26">
        <f>IF(P26="","",F26+$B$6+SUM(F$24:F25))</f>
        <v/>
      </c>
      <c r="S26">
        <f>IF(P26="","",IF(U25=0,C26,IF(Q26=0,C26-F26*U25,C26*(1+Q26)^U25-F26*((1+Q26)^U25-1)/Q26)))</f>
        <v/>
      </c>
      <c r="T26">
        <f>IF(P26="","",IF(S26&lt;=0,IFERROR(NPER(Q26,-F26,C26),0),IF(R26&lt;=S26*Q26,-1,U25+IF(Q26=0,S26/R26,NPER(Q26,-R26,S26)))))</f>
        <v/>
      </c>
      <c r="U26">
        <f>IF(P26="","",IF(OR(T26&lt;0,N(U25)&lt;0),-1,MAX(N(U25),T26)))</f>
        <v/>
      </c>
    </row>
    <row r="27">
      <c r="A27" s="20" t="n">
        <v>4</v>
      </c>
      <c r="B27" s="21">
        <f>IF(P27="","",INDEX($A$10:$A$19,P27))</f>
        <v/>
      </c>
      <c r="C27" s="15">
        <f>IF(P27="","",INDEX($B$10:$B$19,P27))</f>
        <v/>
      </c>
      <c r="D27" s="22">
        <f>IF(P27="","",INDEX($C$10:$C$19,P27))</f>
        <v/>
      </c>
      <c r="F27" s="15">
        <f>IF(P27="","",INDEX($D$10:$D$19,P27))</f>
        <v/>
      </c>
      <c r="G27" s="23">
        <f>IF(P27="","",IF(U27&lt;0,"Nunca — aumente o pagamento",ROUNDUP(T27,0)))</f>
        <v/>
      </c>
      <c r="H27" s="14">
        <f>IF(OR(P27="",U27&lt;0),"",EDATE($B$7,ROUNDUP(T27,0)-1))</f>
        <v/>
      </c>
      <c r="I27" s="15">
        <f>IF(OR(P27="",U27&lt;0),"",MAX(0,IF(S27&lt;=0,F27*T27,F27*U26+R27*(T27-U26))-C27))</f>
        <v/>
      </c>
      <c r="P27">
        <f>IF(COUNT($N$10:$N$19)&lt;4,"",MATCH(SMALL($N$10:$N$19,4),$N$10:$N$19,0))</f>
        <v/>
      </c>
      <c r="Q27">
        <f>IF(P27="","",N(D27)/12)</f>
        <v/>
      </c>
      <c r="R27">
        <f>IF(P27="","",F27+$B$6+SUM(F$24:F26))</f>
        <v/>
      </c>
      <c r="S27">
        <f>IF(P27="","",IF(U26=0,C27,IF(Q27=0,C27-F27*U26,C27*(1+Q27)^U26-F27*((1+Q27)^U26-1)/Q27)))</f>
        <v/>
      </c>
      <c r="T27">
        <f>IF(P27="","",IF(S27&lt;=0,IFERROR(NPER(Q27,-F27,C27),0),IF(R27&lt;=S27*Q27,-1,U26+IF(Q27=0,S27/R27,NPER(Q27,-R27,S27)))))</f>
        <v/>
      </c>
      <c r="U27">
        <f>IF(P27="","",IF(OR(T27&lt;0,N(U26)&lt;0),-1,MAX(N(U26),T27)))</f>
        <v/>
      </c>
    </row>
    <row r="28">
      <c r="A28" s="20" t="n">
        <v>5</v>
      </c>
      <c r="B28" s="21">
        <f>IF(P28="","",INDEX($A$10:$A$19,P28))</f>
        <v/>
      </c>
      <c r="C28" s="15">
        <f>IF(P28="","",INDEX($B$10:$B$19,P28))</f>
        <v/>
      </c>
      <c r="D28" s="22">
        <f>IF(P28="","",INDEX($C$10:$C$19,P28))</f>
        <v/>
      </c>
      <c r="F28" s="15">
        <f>IF(P28="","",INDEX($D$10:$D$19,P28))</f>
        <v/>
      </c>
      <c r="G28" s="23">
        <f>IF(P28="","",IF(U28&lt;0,"Nunca — aumente o pagamento",ROUNDUP(T28,0)))</f>
        <v/>
      </c>
      <c r="H28" s="14">
        <f>IF(OR(P28="",U28&lt;0),"",EDATE($B$7,ROUNDUP(T28,0)-1))</f>
        <v/>
      </c>
      <c r="I28" s="15">
        <f>IF(OR(P28="",U28&lt;0),"",MAX(0,IF(S28&lt;=0,F28*T28,F28*U27+R28*(T28-U27))-C28))</f>
        <v/>
      </c>
      <c r="P28">
        <f>IF(COUNT($N$10:$N$19)&lt;5,"",MATCH(SMALL($N$10:$N$19,5),$N$10:$N$19,0))</f>
        <v/>
      </c>
      <c r="Q28">
        <f>IF(P28="","",N(D28)/12)</f>
        <v/>
      </c>
      <c r="R28">
        <f>IF(P28="","",F28+$B$6+SUM(F$24:F27))</f>
        <v/>
      </c>
      <c r="S28">
        <f>IF(P28="","",IF(U27=0,C28,IF(Q28=0,C28-F28*U27,C28*(1+Q28)^U27-F28*((1+Q28)^U27-1)/Q28)))</f>
        <v/>
      </c>
      <c r="T28">
        <f>IF(P28="","",IF(S28&lt;=0,IFERROR(NPER(Q28,-F28,C28),0),IF(R28&lt;=S28*Q28,-1,U27+IF(Q28=0,S28/R28,NPER(Q28,-R28,S28)))))</f>
        <v/>
      </c>
      <c r="U28">
        <f>IF(P28="","",IF(OR(T28&lt;0,N(U27)&lt;0),-1,MAX(N(U27),T28)))</f>
        <v/>
      </c>
    </row>
    <row r="29">
      <c r="A29" s="20" t="n">
        <v>6</v>
      </c>
      <c r="B29" s="21">
        <f>IF(P29="","",INDEX($A$10:$A$19,P29))</f>
        <v/>
      </c>
      <c r="C29" s="15">
        <f>IF(P29="","",INDEX($B$10:$B$19,P29))</f>
        <v/>
      </c>
      <c r="D29" s="22">
        <f>IF(P29="","",INDEX($C$10:$C$19,P29))</f>
        <v/>
      </c>
      <c r="F29" s="15">
        <f>IF(P29="","",INDEX($D$10:$D$19,P29))</f>
        <v/>
      </c>
      <c r="G29" s="23">
        <f>IF(P29="","",IF(U29&lt;0,"Nunca — aumente o pagamento",ROUNDUP(T29,0)))</f>
        <v/>
      </c>
      <c r="H29" s="14">
        <f>IF(OR(P29="",U29&lt;0),"",EDATE($B$7,ROUNDUP(T29,0)-1))</f>
        <v/>
      </c>
      <c r="I29" s="15">
        <f>IF(OR(P29="",U29&lt;0),"",MAX(0,IF(S29&lt;=0,F29*T29,F29*U28+R29*(T29-U28))-C29))</f>
        <v/>
      </c>
      <c r="P29">
        <f>IF(COUNT($N$10:$N$19)&lt;6,"",MATCH(SMALL($N$10:$N$19,6),$N$10:$N$19,0))</f>
        <v/>
      </c>
      <c r="Q29">
        <f>IF(P29="","",N(D29)/12)</f>
        <v/>
      </c>
      <c r="R29">
        <f>IF(P29="","",F29+$B$6+SUM(F$24:F28))</f>
        <v/>
      </c>
      <c r="S29">
        <f>IF(P29="","",IF(U28=0,C29,IF(Q29=0,C29-F29*U28,C29*(1+Q29)^U28-F29*((1+Q29)^U28-1)/Q29)))</f>
        <v/>
      </c>
      <c r="T29">
        <f>IF(P29="","",IF(S29&lt;=0,IFERROR(NPER(Q29,-F29,C29),0),IF(R29&lt;=S29*Q29,-1,U28+IF(Q29=0,S29/R29,NPER(Q29,-R29,S29)))))</f>
        <v/>
      </c>
      <c r="U29">
        <f>IF(P29="","",IF(OR(T29&lt;0,N(U28)&lt;0),-1,MAX(N(U28),T29)))</f>
        <v/>
      </c>
    </row>
    <row r="30">
      <c r="A30" s="20" t="n">
        <v>7</v>
      </c>
      <c r="B30" s="21">
        <f>IF(P30="","",INDEX($A$10:$A$19,P30))</f>
        <v/>
      </c>
      <c r="C30" s="15">
        <f>IF(P30="","",INDEX($B$10:$B$19,P30))</f>
        <v/>
      </c>
      <c r="D30" s="22">
        <f>IF(P30="","",INDEX($C$10:$C$19,P30))</f>
        <v/>
      </c>
      <c r="F30" s="15">
        <f>IF(P30="","",INDEX($D$10:$D$19,P30))</f>
        <v/>
      </c>
      <c r="G30" s="23">
        <f>IF(P30="","",IF(U30&lt;0,"Nunca — aumente o pagamento",ROUNDUP(T30,0)))</f>
        <v/>
      </c>
      <c r="H30" s="14">
        <f>IF(OR(P30="",U30&lt;0),"",EDATE($B$7,ROUNDUP(T30,0)-1))</f>
        <v/>
      </c>
      <c r="I30" s="15">
        <f>IF(OR(P30="",U30&lt;0),"",MAX(0,IF(S30&lt;=0,F30*T30,F30*U29+R30*(T30-U29))-C30))</f>
        <v/>
      </c>
      <c r="P30">
        <f>IF(COUNT($N$10:$N$19)&lt;7,"",MATCH(SMALL($N$10:$N$19,7),$N$10:$N$19,0))</f>
        <v/>
      </c>
      <c r="Q30">
        <f>IF(P30="","",N(D30)/12)</f>
        <v/>
      </c>
      <c r="R30">
        <f>IF(P30="","",F30+$B$6+SUM(F$24:F29))</f>
        <v/>
      </c>
      <c r="S30">
        <f>IF(P30="","",IF(U29=0,C30,IF(Q30=0,C30-F30*U29,C30*(1+Q30)^U29-F30*((1+Q30)^U29-1)/Q30)))</f>
        <v/>
      </c>
      <c r="T30">
        <f>IF(P30="","",IF(S30&lt;=0,IFERROR(NPER(Q30,-F30,C30),0),IF(R30&lt;=S30*Q30,-1,U29+IF(Q30=0,S30/R30,NPER(Q30,-R30,S30)))))</f>
        <v/>
      </c>
      <c r="U30">
        <f>IF(P30="","",IF(OR(T30&lt;0,N(U29)&lt;0),-1,MAX(N(U29),T30)))</f>
        <v/>
      </c>
    </row>
    <row r="31">
      <c r="A31" s="20" t="n">
        <v>8</v>
      </c>
      <c r="B31" s="21">
        <f>IF(P31="","",INDEX($A$10:$A$19,P31))</f>
        <v/>
      </c>
      <c r="C31" s="15">
        <f>IF(P31="","",INDEX($B$10:$B$19,P31))</f>
        <v/>
      </c>
      <c r="D31" s="22">
        <f>IF(P31="","",INDEX($C$10:$C$19,P31))</f>
        <v/>
      </c>
      <c r="F31" s="15">
        <f>IF(P31="","",INDEX($D$10:$D$19,P31))</f>
        <v/>
      </c>
      <c r="G31" s="23">
        <f>IF(P31="","",IF(U31&lt;0,"Nunca — aumente o pagamento",ROUNDUP(T31,0)))</f>
        <v/>
      </c>
      <c r="H31" s="14">
        <f>IF(OR(P31="",U31&lt;0),"",EDATE($B$7,ROUNDUP(T31,0)-1))</f>
        <v/>
      </c>
      <c r="I31" s="15">
        <f>IF(OR(P31="",U31&lt;0),"",MAX(0,IF(S31&lt;=0,F31*T31,F31*U30+R31*(T31-U30))-C31))</f>
        <v/>
      </c>
      <c r="P31">
        <f>IF(COUNT($N$10:$N$19)&lt;8,"",MATCH(SMALL($N$10:$N$19,8),$N$10:$N$19,0))</f>
        <v/>
      </c>
      <c r="Q31">
        <f>IF(P31="","",N(D31)/12)</f>
        <v/>
      </c>
      <c r="R31">
        <f>IF(P31="","",F31+$B$6+SUM(F$24:F30))</f>
        <v/>
      </c>
      <c r="S31">
        <f>IF(P31="","",IF(U30=0,C31,IF(Q31=0,C31-F31*U30,C31*(1+Q31)^U30-F31*((1+Q31)^U30-1)/Q31)))</f>
        <v/>
      </c>
      <c r="T31">
        <f>IF(P31="","",IF(S31&lt;=0,IFERROR(NPER(Q31,-F31,C31),0),IF(R31&lt;=S31*Q31,-1,U30+IF(Q31=0,S31/R31,NPER(Q31,-R31,S31)))))</f>
        <v/>
      </c>
      <c r="U31">
        <f>IF(P31="","",IF(OR(T31&lt;0,N(U30)&lt;0),-1,MAX(N(U30),T31)))</f>
        <v/>
      </c>
    </row>
    <row r="32">
      <c r="A32" s="20" t="n">
        <v>9</v>
      </c>
      <c r="B32" s="21">
        <f>IF(P32="","",INDEX($A$10:$A$19,P32))</f>
        <v/>
      </c>
      <c r="C32" s="15">
        <f>IF(P32="","",INDEX($B$10:$B$19,P32))</f>
        <v/>
      </c>
      <c r="D32" s="22">
        <f>IF(P32="","",INDEX($C$10:$C$19,P32))</f>
        <v/>
      </c>
      <c r="F32" s="15">
        <f>IF(P32="","",INDEX($D$10:$D$19,P32))</f>
        <v/>
      </c>
      <c r="G32" s="23">
        <f>IF(P32="","",IF(U32&lt;0,"Nunca — aumente o pagamento",ROUNDUP(T32,0)))</f>
        <v/>
      </c>
      <c r="H32" s="14">
        <f>IF(OR(P32="",U32&lt;0),"",EDATE($B$7,ROUNDUP(T32,0)-1))</f>
        <v/>
      </c>
      <c r="I32" s="15">
        <f>IF(OR(P32="",U32&lt;0),"",MAX(0,IF(S32&lt;=0,F32*T32,F32*U31+R32*(T32-U31))-C32))</f>
        <v/>
      </c>
      <c r="P32">
        <f>IF(COUNT($N$10:$N$19)&lt;9,"",MATCH(SMALL($N$10:$N$19,9),$N$10:$N$19,0))</f>
        <v/>
      </c>
      <c r="Q32">
        <f>IF(P32="","",N(D32)/12)</f>
        <v/>
      </c>
      <c r="R32">
        <f>IF(P32="","",F32+$B$6+SUM(F$24:F31))</f>
        <v/>
      </c>
      <c r="S32">
        <f>IF(P32="","",IF(U31=0,C32,IF(Q32=0,C32-F32*U31,C32*(1+Q32)^U31-F32*((1+Q32)^U31-1)/Q32)))</f>
        <v/>
      </c>
      <c r="T32">
        <f>IF(P32="","",IF(S32&lt;=0,IFERROR(NPER(Q32,-F32,C32),0),IF(R32&lt;=S32*Q32,-1,U31+IF(Q32=0,S32/R32,NPER(Q32,-R32,S32)))))</f>
        <v/>
      </c>
      <c r="U32">
        <f>IF(P32="","",IF(OR(T32&lt;0,N(U31)&lt;0),-1,MAX(N(U31),T32)))</f>
        <v/>
      </c>
    </row>
    <row r="33">
      <c r="A33" s="20" t="n">
        <v>10</v>
      </c>
      <c r="B33" s="21">
        <f>IF(P33="","",INDEX($A$10:$A$19,P33))</f>
        <v/>
      </c>
      <c r="C33" s="15">
        <f>IF(P33="","",INDEX($B$10:$B$19,P33))</f>
        <v/>
      </c>
      <c r="D33" s="22">
        <f>IF(P33="","",INDEX($C$10:$C$19,P33))</f>
        <v/>
      </c>
      <c r="F33" s="15">
        <f>IF(P33="","",INDEX($D$10:$D$19,P33))</f>
        <v/>
      </c>
      <c r="G33" s="23">
        <f>IF(P33="","",IF(U33&lt;0,"Nunca — aumente o pagamento",ROUNDUP(T33,0)))</f>
        <v/>
      </c>
      <c r="H33" s="14">
        <f>IF(OR(P33="",U33&lt;0),"",EDATE($B$7,ROUNDUP(T33,0)-1))</f>
        <v/>
      </c>
      <c r="I33" s="15">
        <f>IF(OR(P33="",U33&lt;0),"",MAX(0,IF(S33&lt;=0,F33*T33,F33*U32+R33*(T33-U32))-C33))</f>
        <v/>
      </c>
      <c r="P33">
        <f>IF(COUNT($N$10:$N$19)&lt;10,"",MATCH(SMALL($N$10:$N$19,10),$N$10:$N$19,0))</f>
        <v/>
      </c>
      <c r="Q33">
        <f>IF(P33="","",N(D33)/12)</f>
        <v/>
      </c>
      <c r="R33">
        <f>IF(P33="","",F33+$B$6+SUM(F$24:F32))</f>
        <v/>
      </c>
      <c r="S33">
        <f>IF(P33="","",IF(U32=0,C33,IF(Q33=0,C33-F33*U32,C33*(1+Q33)^U32-F33*((1+Q33)^U32-1)/Q33)))</f>
        <v/>
      </c>
      <c r="T33">
        <f>IF(P33="","",IF(S33&lt;=0,IFERROR(NPER(Q33,-F33,C33),0),IF(R33&lt;=S33*Q33,-1,U32+IF(Q33=0,S33/R33,NPER(Q33,-R33,S33)))))</f>
        <v/>
      </c>
      <c r="U33">
        <f>IF(P33="","",IF(OR(T33&lt;0,N(U32)&lt;0),-1,MAX(N(U32),T33)))</f>
        <v/>
      </c>
    </row>
  </sheetData>
  <mergeCells count="1">
    <mergeCell ref="A3:I3"/>
  </mergeCells>
  <dataValidations count="1">
    <dataValidation sqref="B5" showDropDown="0" showInputMessage="0" showErrorMessage="0" allowBlank="0" type="list">
      <formula1>$M$5:$M$6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Planejador de dívidas: bola de neve e avalanche</dc:title>
  <dcterms:created xmlns:dcterms="http://purl.org/dc/terms/" xmlns:xsi="http://www.w3.org/2001/XMLSchema-instance" xsi:type="dcterms:W3CDTF">2026-10-12T17:25:58Z</dcterms:created>
  <dcterms:modified xmlns:dcterms="http://purl.org/dc/terms/" xmlns:xsi="http://www.w3.org/2001/XMLSchema-instance" xsi:type="dcterms:W3CDTF">2026-10-12T17:25:58Z</dcterms:modified>
</cp:coreProperties>
</file>